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天津市煤炭堆存、装卸应税污染物排放量核算工具" sheetId="1" r:id="rId1"/>
  </sheets>
  <calcPr calcId="144525"/>
</workbook>
</file>

<file path=xl/calcChain.xml><?xml version="1.0" encoding="utf-8"?>
<calcChain xmlns="http://schemas.openxmlformats.org/spreadsheetml/2006/main">
  <c r="X18" i="1" l="1"/>
  <c r="U18" i="1"/>
  <c r="T18" i="1"/>
  <c r="S18" i="1"/>
  <c r="R18" i="1"/>
  <c r="Q18" i="1"/>
  <c r="P18" i="1"/>
  <c r="H18" i="1"/>
  <c r="X17" i="1"/>
  <c r="U17" i="1"/>
  <c r="T17" i="1"/>
  <c r="S17" i="1"/>
  <c r="R17" i="1"/>
  <c r="Q17" i="1"/>
  <c r="P17" i="1"/>
  <c r="H17" i="1"/>
  <c r="X16" i="1"/>
  <c r="U16" i="1"/>
  <c r="T16" i="1"/>
  <c r="S16" i="1"/>
  <c r="R16" i="1"/>
  <c r="Q16" i="1"/>
  <c r="P16" i="1"/>
  <c r="H16" i="1"/>
  <c r="X15" i="1"/>
  <c r="U15" i="1"/>
  <c r="T15" i="1"/>
  <c r="S15" i="1"/>
  <c r="R15" i="1"/>
  <c r="Q15" i="1"/>
  <c r="P15" i="1"/>
  <c r="H15" i="1"/>
  <c r="X14" i="1"/>
  <c r="U14" i="1"/>
  <c r="T14" i="1"/>
  <c r="S14" i="1"/>
  <c r="R14" i="1"/>
  <c r="Q14" i="1"/>
  <c r="P14" i="1"/>
  <c r="H14" i="1"/>
  <c r="X13" i="1"/>
  <c r="U13" i="1"/>
  <c r="T13" i="1"/>
  <c r="S13" i="1"/>
  <c r="R13" i="1"/>
  <c r="Q13" i="1"/>
  <c r="P13" i="1"/>
  <c r="H13" i="1"/>
  <c r="X12" i="1"/>
  <c r="U12" i="1"/>
  <c r="T12" i="1"/>
  <c r="S12" i="1"/>
  <c r="R12" i="1"/>
  <c r="Q12" i="1"/>
  <c r="P12" i="1"/>
  <c r="H12" i="1"/>
  <c r="X11" i="1"/>
  <c r="U11" i="1"/>
  <c r="T11" i="1"/>
  <c r="S11" i="1"/>
  <c r="R11" i="1"/>
  <c r="Q11" i="1"/>
  <c r="P11" i="1"/>
  <c r="X10" i="1"/>
  <c r="U10" i="1"/>
  <c r="T10" i="1"/>
  <c r="S10" i="1"/>
  <c r="R10" i="1"/>
  <c r="Q10" i="1"/>
  <c r="P10" i="1"/>
  <c r="X9" i="1"/>
  <c r="U9" i="1"/>
  <c r="T9" i="1"/>
  <c r="S9" i="1"/>
  <c r="R9" i="1"/>
  <c r="Q9" i="1"/>
  <c r="P9" i="1"/>
  <c r="M9" i="1"/>
  <c r="AB8" i="1"/>
  <c r="X8" i="1"/>
  <c r="U8" i="1"/>
  <c r="T8" i="1"/>
  <c r="S8" i="1"/>
  <c r="R8" i="1"/>
  <c r="Q8" i="1"/>
  <c r="P8" i="1"/>
  <c r="AB7" i="1"/>
  <c r="X7" i="1"/>
  <c r="U7" i="1"/>
  <c r="T7" i="1"/>
  <c r="S7" i="1"/>
  <c r="R7" i="1"/>
  <c r="Q7" i="1"/>
  <c r="P7" i="1"/>
  <c r="M7" i="1"/>
  <c r="AB6" i="1"/>
  <c r="X6" i="1"/>
  <c r="U6" i="1"/>
  <c r="T6" i="1"/>
  <c r="S6" i="1"/>
  <c r="R6" i="1"/>
  <c r="Q6" i="1"/>
  <c r="P6" i="1"/>
  <c r="AB5" i="1"/>
  <c r="X5" i="1"/>
  <c r="U5" i="1"/>
  <c r="T5" i="1"/>
  <c r="S5" i="1"/>
  <c r="R5" i="1"/>
  <c r="Q5" i="1"/>
  <c r="P5" i="1"/>
  <c r="M5" i="1"/>
  <c r="X4" i="1"/>
  <c r="U4" i="1"/>
  <c r="T4" i="1"/>
  <c r="S4" i="1"/>
  <c r="R4" i="1"/>
  <c r="Q4" i="1"/>
  <c r="P4" i="1"/>
  <c r="AB3" i="1"/>
  <c r="X3" i="1"/>
  <c r="U3" i="1"/>
  <c r="T3" i="1"/>
  <c r="S3" i="1"/>
  <c r="R3" i="1"/>
  <c r="Q3" i="1"/>
  <c r="P3" i="1"/>
  <c r="M3" i="1"/>
</calcChain>
</file>

<file path=xl/sharedStrings.xml><?xml version="1.0" encoding="utf-8"?>
<sst xmlns="http://schemas.openxmlformats.org/spreadsheetml/2006/main" count="141" uniqueCount="87">
  <si>
    <t>测试点位</t>
  </si>
  <si>
    <t>下风向距离（m）</t>
  </si>
  <si>
    <t>采样持续时间（h）</t>
  </si>
  <si>
    <r>
      <rPr>
        <sz val="11"/>
        <color theme="1"/>
        <rFont val="等线"/>
        <charset val="134"/>
        <scheme val="minor"/>
      </rPr>
      <t>浓度值（mg/m</t>
    </r>
    <r>
      <rPr>
        <vertAlign val="superscript"/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charset val="134"/>
        <scheme val="minor"/>
      </rPr>
      <t>）</t>
    </r>
  </si>
  <si>
    <t>测试环境条件</t>
  </si>
  <si>
    <t>云量（1-5）</t>
  </si>
  <si>
    <t>横扩回归α1</t>
  </si>
  <si>
    <t>横扩回归γ1</t>
  </si>
  <si>
    <t>横扩系数σy</t>
  </si>
  <si>
    <t>垂扩回归α2</t>
  </si>
  <si>
    <t>垂扩回归γ2</t>
  </si>
  <si>
    <t>垂扩系数σz</t>
  </si>
  <si>
    <t>初扩参数σy0</t>
  </si>
  <si>
    <t>排放高度H ̅</t>
  </si>
  <si>
    <t>扬尘量Q（kg/d）</t>
  </si>
  <si>
    <t>地面风速检测高度(m)</t>
  </si>
  <si>
    <t>翻车机区</t>
  </si>
  <si>
    <t>测试点1</t>
  </si>
  <si>
    <r>
      <rPr>
        <sz val="11"/>
        <color theme="1"/>
        <rFont val="等线"/>
        <charset val="134"/>
        <scheme val="minor"/>
      </rPr>
      <t>摩擦风速u</t>
    </r>
    <r>
      <rPr>
        <vertAlign val="superscript"/>
        <sz val="11"/>
        <color theme="1"/>
        <rFont val="等线"/>
        <charset val="134"/>
        <scheme val="minor"/>
      </rPr>
      <t>*</t>
    </r>
  </si>
  <si>
    <t>测试点2</t>
  </si>
  <si>
    <t>采样日期</t>
  </si>
  <si>
    <t>月</t>
  </si>
  <si>
    <t>日</t>
  </si>
  <si>
    <t>太阳高度角（1-3）</t>
  </si>
  <si>
    <r>
      <rPr>
        <sz val="11"/>
        <color theme="1"/>
        <rFont val="等线"/>
        <charset val="134"/>
        <scheme val="minor"/>
      </rPr>
      <t>阈值摩擦风速u</t>
    </r>
    <r>
      <rPr>
        <vertAlign val="subscript"/>
        <sz val="11"/>
        <color theme="1"/>
        <rFont val="等线"/>
        <charset val="134"/>
        <scheme val="minor"/>
      </rPr>
      <t>t</t>
    </r>
    <r>
      <rPr>
        <vertAlign val="superscript"/>
        <sz val="11"/>
        <color theme="1"/>
        <rFont val="等线"/>
        <charset val="134"/>
        <scheme val="minor"/>
      </rPr>
      <t>*</t>
    </r>
  </si>
  <si>
    <t>测试点3</t>
  </si>
  <si>
    <t>云量情况</t>
  </si>
  <si>
    <t>单击选择</t>
  </si>
  <si>
    <t>扬尘去除效率η</t>
  </si>
  <si>
    <t>测试点4</t>
  </si>
  <si>
    <t>地面风速（m/s）</t>
  </si>
  <si>
    <t>太阳辐射等级（0-3）</t>
  </si>
  <si>
    <r>
      <rPr>
        <sz val="11"/>
        <color theme="1"/>
        <rFont val="等线"/>
        <charset val="134"/>
        <scheme val="minor"/>
      </rPr>
      <t>物料粒度乘数k</t>
    </r>
    <r>
      <rPr>
        <vertAlign val="subscript"/>
        <sz val="11"/>
        <color theme="1"/>
        <rFont val="等线"/>
        <charset val="134"/>
        <scheme val="minor"/>
      </rPr>
      <t>i</t>
    </r>
  </si>
  <si>
    <t>皮带装煤区</t>
  </si>
  <si>
    <t>监测项目</t>
  </si>
  <si>
    <t>最大风速风蚀潜势Pi</t>
  </si>
  <si>
    <r>
      <rPr>
        <sz val="11"/>
        <color theme="1"/>
        <rFont val="等线"/>
        <charset val="134"/>
        <scheme val="minor"/>
      </rPr>
      <t>料堆占地面积(m</t>
    </r>
    <r>
      <rPr>
        <vertAlign val="superscript"/>
        <sz val="11"/>
        <color theme="1"/>
        <rFont val="等线"/>
        <charset val="134"/>
        <scheme val="minor"/>
      </rPr>
      <t>2</t>
    </r>
    <r>
      <rPr>
        <sz val="11"/>
        <color theme="1"/>
        <rFont val="等线"/>
        <charset val="134"/>
        <scheme val="minor"/>
      </rPr>
      <t>)</t>
    </r>
  </si>
  <si>
    <t>大气稳定度等级(A-D)</t>
  </si>
  <si>
    <t>颗粒物排放系数Ew</t>
  </si>
  <si>
    <t>堆场抑尘控制措施</t>
  </si>
  <si>
    <t>点击选择</t>
  </si>
  <si>
    <t>作业扬尘量</t>
  </si>
  <si>
    <t>皮带取煤区</t>
  </si>
  <si>
    <t>翻车机区（kg/d）</t>
  </si>
  <si>
    <t>皮带装煤区（kg/d）</t>
  </si>
  <si>
    <t>皮带取煤区（kg/d）</t>
  </si>
  <si>
    <t>门吊区</t>
  </si>
  <si>
    <t>门吊区（kg/d）</t>
  </si>
  <si>
    <t>作业扬尘量合计（kg/d）</t>
  </si>
  <si>
    <t>静态扬尘量WYS(kg)</t>
  </si>
  <si>
    <t>煤炭堆存、装卸应税污染物排放量(kg)</t>
  </si>
  <si>
    <t>主要参数解释说明：</t>
  </si>
  <si>
    <t>查表：横向扩散参数幂函数表达式数据</t>
  </si>
  <si>
    <t>（1）下风向距离：作业过程中颗粒物产生的位置距离监测点位距离，m；</t>
  </si>
  <si>
    <t>稳定度等级</t>
  </si>
  <si>
    <r>
      <rPr>
        <sz val="10.5"/>
        <color theme="1"/>
        <rFont val="宋体"/>
        <family val="3"/>
        <charset val="134"/>
      </rPr>
      <t>下风距离</t>
    </r>
    <r>
      <rPr>
        <sz val="10.5"/>
        <color theme="1"/>
        <rFont val="Times New Roman"/>
        <family val="1"/>
      </rPr>
      <t>0-1000m</t>
    </r>
  </si>
  <si>
    <r>
      <rPr>
        <sz val="10.5"/>
        <color theme="1"/>
        <rFont val="宋体"/>
        <family val="3"/>
        <charset val="134"/>
      </rPr>
      <t>下风距离</t>
    </r>
    <r>
      <rPr>
        <sz val="10.5"/>
        <color theme="1"/>
        <rFont val="Times New Roman"/>
        <family val="1"/>
      </rPr>
      <t>&gt;1000m</t>
    </r>
  </si>
  <si>
    <t>无控制措施</t>
  </si>
  <si>
    <t>（2）采样持续时间：监测取样时间，h；</t>
  </si>
  <si>
    <t>α1</t>
  </si>
  <si>
    <t>γ1</t>
  </si>
  <si>
    <t>定期洒水</t>
  </si>
  <si>
    <t>（3）地面风速：堆场内监测风速，m/s;</t>
  </si>
  <si>
    <t>A</t>
  </si>
  <si>
    <t>化学覆盖剂或苫盖</t>
  </si>
  <si>
    <r>
      <t>（4）浓度值：监测点位浓度的日均值，mg/m</t>
    </r>
    <r>
      <rPr>
        <vertAlign val="superscript"/>
        <sz val="12"/>
        <color theme="1"/>
        <rFont val="仿宋"/>
        <family val="3"/>
        <charset val="134"/>
      </rPr>
      <t>3</t>
    </r>
    <r>
      <rPr>
        <sz val="12"/>
        <color theme="1"/>
        <rFont val="仿宋"/>
        <family val="3"/>
        <charset val="134"/>
      </rPr>
      <t>;</t>
    </r>
  </si>
  <si>
    <t>B</t>
  </si>
  <si>
    <t>定期洒水 + 化学覆盖剂或苫盖</t>
  </si>
  <si>
    <r>
      <t>（5）料堆占地面积：煤炭堆场占地面积，m</t>
    </r>
    <r>
      <rPr>
        <vertAlign val="superscript"/>
        <sz val="12"/>
        <color theme="1"/>
        <rFont val="仿宋"/>
        <family val="3"/>
        <charset val="134"/>
      </rPr>
      <t>2</t>
    </r>
    <r>
      <rPr>
        <sz val="12"/>
        <color theme="1"/>
        <rFont val="仿宋"/>
        <family val="3"/>
        <charset val="134"/>
      </rPr>
      <t>;</t>
    </r>
  </si>
  <si>
    <t>B-C</t>
  </si>
  <si>
    <t>全封闭</t>
  </si>
  <si>
    <r>
      <t>（6）监测项目：根据实际监测情况填写，TSP或者PM</t>
    </r>
    <r>
      <rPr>
        <vertAlign val="subscript"/>
        <sz val="12"/>
        <color theme="1"/>
        <rFont val="仿宋"/>
        <family val="3"/>
        <charset val="134"/>
      </rPr>
      <t>10</t>
    </r>
    <r>
      <rPr>
        <sz val="12"/>
        <color theme="1"/>
        <rFont val="仿宋"/>
        <family val="3"/>
        <charset val="134"/>
      </rPr>
      <t>；</t>
    </r>
  </si>
  <si>
    <t>C</t>
  </si>
  <si>
    <t>（7）云量情况：按实际天气情况填写，晴、晴/多云、多云、多云/阴、阴；</t>
  </si>
  <si>
    <t>C-D</t>
  </si>
  <si>
    <t>（8）堆场抑尘控制措施：按实际情况选择无控制措施、定期洒水、化学覆盖剂或苫盖、定期洒水 + 化学覆盖剂或苫盖，全封闭。</t>
  </si>
  <si>
    <t>D</t>
  </si>
  <si>
    <t>查表：垂直扩散参数幂函数表达式数据</t>
  </si>
  <si>
    <r>
      <rPr>
        <sz val="10.5"/>
        <color theme="1"/>
        <rFont val="宋体"/>
        <family val="3"/>
        <charset val="134"/>
      </rPr>
      <t>下风距离</t>
    </r>
    <r>
      <rPr>
        <sz val="10.5"/>
        <color theme="1"/>
        <rFont val="Times New Roman"/>
        <family val="1"/>
      </rPr>
      <t>0-300m</t>
    </r>
  </si>
  <si>
    <r>
      <rPr>
        <sz val="10.5"/>
        <color theme="1"/>
        <rFont val="宋体"/>
        <family val="3"/>
        <charset val="134"/>
      </rPr>
      <t>下风距离30</t>
    </r>
    <r>
      <rPr>
        <sz val="10.5"/>
        <color theme="1"/>
        <rFont val="Times New Roman"/>
        <family val="1"/>
      </rPr>
      <t>0-500m</t>
    </r>
  </si>
  <si>
    <r>
      <rPr>
        <sz val="10.5"/>
        <color theme="1"/>
        <rFont val="宋体"/>
        <family val="3"/>
        <charset val="134"/>
      </rPr>
      <t>下风距离50</t>
    </r>
    <r>
      <rPr>
        <sz val="10.5"/>
        <color theme="1"/>
        <rFont val="Times New Roman"/>
        <family val="1"/>
      </rPr>
      <t>0-1000m</t>
    </r>
  </si>
  <si>
    <r>
      <rPr>
        <sz val="10.5"/>
        <color theme="1"/>
        <rFont val="宋体"/>
        <family val="3"/>
        <charset val="134"/>
      </rPr>
      <t>下风距离100</t>
    </r>
    <r>
      <rPr>
        <sz val="10.5"/>
        <color theme="1"/>
        <rFont val="Times New Roman"/>
        <family val="1"/>
      </rPr>
      <t>0-2000m</t>
    </r>
  </si>
  <si>
    <r>
      <rPr>
        <sz val="10.5"/>
        <color theme="1"/>
        <rFont val="宋体"/>
        <family val="3"/>
        <charset val="134"/>
      </rPr>
      <t>下风距离2</t>
    </r>
    <r>
      <rPr>
        <sz val="10.5"/>
        <color theme="1"/>
        <rFont val="Times New Roman"/>
        <family val="1"/>
      </rPr>
      <t>000-10000m</t>
    </r>
  </si>
  <si>
    <r>
      <rPr>
        <sz val="10.5"/>
        <color theme="1"/>
        <rFont val="宋体"/>
        <family val="3"/>
        <charset val="134"/>
      </rPr>
      <t>下风距离&gt;</t>
    </r>
    <r>
      <rPr>
        <sz val="10.5"/>
        <color theme="1"/>
        <rFont val="Times New Roman"/>
        <family val="1"/>
      </rPr>
      <t>10000m</t>
    </r>
  </si>
  <si>
    <t>α2</t>
  </si>
  <si>
    <t>γ2</t>
  </si>
  <si>
    <t>天津市煤炭堆存、装卸过程大气应税污染物排放量简易核算工具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</si>
</sst>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000_ "/>
  </numFmts>
  <fonts count="14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vertAlign val="superscript"/>
      <sz val="11"/>
      <color theme="1"/>
      <name val="等线"/>
      <charset val="134"/>
      <scheme val="minor"/>
    </font>
    <font>
      <vertAlign val="subscript"/>
      <sz val="11"/>
      <color theme="1"/>
      <name val="等线"/>
      <charset val="134"/>
      <scheme val="minor"/>
    </font>
    <font>
      <vertAlign val="superscript"/>
      <sz val="12"/>
      <color theme="1"/>
      <name val="仿宋"/>
      <family val="3"/>
      <charset val="134"/>
    </font>
    <font>
      <vertAlign val="subscript"/>
      <sz val="12"/>
      <color theme="1"/>
      <name val="仿宋"/>
      <family val="3"/>
      <charset val="134"/>
    </font>
    <font>
      <sz val="9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9" tint="0.7999206518753624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4" borderId="9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77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 applyProtection="1">
      <alignment horizontal="center" vertical="center"/>
    </xf>
    <xf numFmtId="0" fontId="0" fillId="4" borderId="10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DDFD1"/>
      <color rgb="FFB8D4C5"/>
      <color rgb="FFB0D0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8"/>
  <sheetViews>
    <sheetView tabSelected="1" zoomScale="115" zoomScaleNormal="115" workbookViewId="0">
      <selection activeCell="B1" sqref="B1:K1"/>
    </sheetView>
  </sheetViews>
  <sheetFormatPr defaultColWidth="10.25" defaultRowHeight="25.9" customHeight="1"/>
  <cols>
    <col min="1" max="1" width="4.75" style="1" customWidth="1"/>
    <col min="2" max="2" width="12.125" style="1" customWidth="1"/>
    <col min="3" max="3" width="11" style="1" customWidth="1"/>
    <col min="4" max="6" width="17.5" style="1" customWidth="1"/>
    <col min="7" max="7" width="33.625" style="1" customWidth="1"/>
    <col min="8" max="11" width="6.25" style="1" customWidth="1"/>
    <col min="12" max="12" width="14" style="1" customWidth="1"/>
    <col min="13" max="17" width="14" style="1" hidden="1" customWidth="1"/>
    <col min="18" max="21" width="14" style="2" hidden="1" customWidth="1"/>
    <col min="22" max="29" width="14" style="1" hidden="1" customWidth="1"/>
    <col min="30" max="16330" width="10.25" style="1" customWidth="1"/>
    <col min="16331" max="16384" width="10.25" style="1"/>
  </cols>
  <sheetData>
    <row r="1" spans="2:28" ht="40.9" customHeight="1">
      <c r="B1" s="30" t="s">
        <v>86</v>
      </c>
      <c r="C1" s="30"/>
      <c r="D1" s="30"/>
      <c r="E1" s="30"/>
      <c r="F1" s="30"/>
      <c r="G1" s="30"/>
      <c r="H1" s="30"/>
      <c r="I1" s="30"/>
      <c r="J1" s="30"/>
      <c r="K1" s="30"/>
    </row>
    <row r="2" spans="2:28" ht="25.9" customHeight="1">
      <c r="B2" s="31" t="s">
        <v>0</v>
      </c>
      <c r="C2" s="32"/>
      <c r="D2" s="3" t="s">
        <v>1</v>
      </c>
      <c r="E2" s="4" t="s">
        <v>2</v>
      </c>
      <c r="F2" s="5" t="s">
        <v>3</v>
      </c>
      <c r="G2" s="58" t="s">
        <v>4</v>
      </c>
      <c r="H2" s="59"/>
      <c r="I2" s="59"/>
      <c r="J2" s="59"/>
      <c r="K2" s="60"/>
      <c r="M2" s="2" t="s">
        <v>5</v>
      </c>
      <c r="N2" s="33" t="s">
        <v>0</v>
      </c>
      <c r="O2" s="33"/>
      <c r="P2" s="16" t="s">
        <v>6</v>
      </c>
      <c r="Q2" s="16" t="s">
        <v>7</v>
      </c>
      <c r="R2" s="16" t="s">
        <v>8</v>
      </c>
      <c r="S2" s="16" t="s">
        <v>9</v>
      </c>
      <c r="T2" s="16" t="s">
        <v>10</v>
      </c>
      <c r="U2" s="16" t="s">
        <v>11</v>
      </c>
      <c r="V2" s="16" t="s">
        <v>12</v>
      </c>
      <c r="W2" s="16" t="s">
        <v>13</v>
      </c>
      <c r="X2" s="16" t="s">
        <v>14</v>
      </c>
      <c r="AA2" s="1" t="s">
        <v>15</v>
      </c>
      <c r="AB2" s="1">
        <v>10</v>
      </c>
    </row>
    <row r="3" spans="2:28" ht="25.9" customHeight="1">
      <c r="B3" s="50" t="s">
        <v>16</v>
      </c>
      <c r="C3" s="7" t="s">
        <v>17</v>
      </c>
      <c r="D3" s="7"/>
      <c r="E3" s="7"/>
      <c r="F3" s="8"/>
      <c r="G3" s="61"/>
      <c r="H3" s="62"/>
      <c r="I3" s="62"/>
      <c r="J3" s="62"/>
      <c r="K3" s="63"/>
      <c r="M3" s="2" t="str">
        <f>IF(H5="晴",1,IF(H5="晴-多云",2,IF(H5="多云",3,IF(H5="多云-阴",4,IF(H5="阴",5,"未选择")))))</f>
        <v>未选择</v>
      </c>
      <c r="N3" s="33" t="s">
        <v>16</v>
      </c>
      <c r="O3" s="16" t="s">
        <v>17</v>
      </c>
      <c r="P3" s="16">
        <f>IF($D3&gt;1000,VLOOKUP($M$9,$N$23:$R$28,4),VLOOKUP($M$9,$N$23:$R$28,2))</f>
        <v>0.929481</v>
      </c>
      <c r="Q3" s="16">
        <f>IF($D3&gt;1000,VLOOKUP($M$9,$N$23:$R$28,5),VLOOKUP($M$9,$N$23:$R$28,3))</f>
        <v>0.110726</v>
      </c>
      <c r="R3" s="16">
        <f>IF(E3&lt;=0.5,Q3*POWER($D3,P3),Q3*POWER($D3,P3)*POWER(($E3/0.5),IF($E3&lt;=1,0.2,0.3)))</f>
        <v>0</v>
      </c>
      <c r="S3" s="16">
        <f>IF($D3&gt;10000,VLOOKUP($M$9,$N$33:$Z$38,12),IF($D3&gt;2000,VLOOKUP($M$9,$N$33:$Z$38,10),IF($D3&gt;1000,VLOOKUP($M$9,$N$33:$Z$38,8),IF($D3&gt;500,VLOOKUP($M$9,$N$33:$Z$38,6),IF($D3&gt;300,VLOOKUP($M$9,$N$33:$Z$38,4),VLOOKUP($M$9,$N$33:$Z$38,2))))))</f>
        <v>0.82621199999999995</v>
      </c>
      <c r="T3" s="16">
        <f>IF($D3&gt;10000,VLOOKUP($M$9,$N$33:$Z$38,13),IF($D3&gt;2000,VLOOKUP($M$9,$N$33:$Z$38,11),IF($D3&gt;1000,VLOOKUP($M$9,$N$33:$Z$38,9),IF($D3&gt;500,VLOOKUP($M$9,$N$33:$Z$38,7),IF($D3&gt;300,VLOOKUP($M$9,$N$33:$Z$38,5),VLOOKUP($M$9,$N$33:$Z$38,3))))))</f>
        <v>0.104634</v>
      </c>
      <c r="U3" s="16">
        <f>T3*POWER($D3,S3)</f>
        <v>0</v>
      </c>
      <c r="V3" s="26">
        <v>25</v>
      </c>
      <c r="W3" s="26">
        <v>5</v>
      </c>
      <c r="X3" s="16" t="str">
        <f>IF(ISBLANK($F3),"",(11.3*F3*$H$6*U3*SQRT(POWER(R3,2)+POWER(V3,2))*EXP(POWER(W3,2)/(2*POWER(U3,2)))*0.001*24))</f>
        <v/>
      </c>
      <c r="AA3" s="27" t="s">
        <v>18</v>
      </c>
      <c r="AB3" s="1">
        <f>0.4*H6/(LN(AB2/0.6))</f>
        <v>0</v>
      </c>
    </row>
    <row r="4" spans="2:28" ht="25.9" customHeight="1">
      <c r="B4" s="50"/>
      <c r="C4" s="7" t="s">
        <v>19</v>
      </c>
      <c r="D4" s="7"/>
      <c r="E4" s="7"/>
      <c r="F4" s="8"/>
      <c r="G4" s="6" t="s">
        <v>20</v>
      </c>
      <c r="H4" s="7"/>
      <c r="I4" s="7" t="s">
        <v>21</v>
      </c>
      <c r="J4" s="7"/>
      <c r="K4" s="17" t="s">
        <v>22</v>
      </c>
      <c r="M4" s="2" t="s">
        <v>23</v>
      </c>
      <c r="N4" s="33"/>
      <c r="O4" s="16" t="s">
        <v>19</v>
      </c>
      <c r="P4" s="16">
        <f t="shared" ref="P4:P18" si="0">IF($D4&gt;1000,VLOOKUP($M$9,$N$23:$R$28,4),VLOOKUP($M$9,$N$23:$R$28,2))</f>
        <v>0.929481</v>
      </c>
      <c r="Q4" s="16">
        <f t="shared" ref="Q4:Q18" si="1">IF($D4&gt;1000,VLOOKUP($M$9,$N$23:$R$28,5),VLOOKUP($M$9,$N$23:$R$28,3))</f>
        <v>0.110726</v>
      </c>
      <c r="R4" s="16">
        <f t="shared" ref="R4:R18" si="2">IF(E4&lt;=0.5,Q4*POWER($D4,P4),Q4*POWER($D4,P4)*POWER(($E4/0.5),IF($E4&lt;=1,0.2,0.3)))</f>
        <v>0</v>
      </c>
      <c r="S4" s="16">
        <f t="shared" ref="S4:S18" si="3">IF($D4&gt;10000,VLOOKUP($M$9,$N$33:$Z$38,12),IF($D4&gt;2000,VLOOKUP($M$9,$N$33:$Z$38,10),IF($D4&gt;1000,VLOOKUP($M$9,$N$33:$Z$38,8),IF($D4&gt;500,VLOOKUP($M$9,$N$33:$Z$38,6),IF($D4&gt;300,VLOOKUP($M$9,$N$33:$Z$38,4),VLOOKUP($M$9,$N$33:$Z$38,2))))))</f>
        <v>0.82621199999999995</v>
      </c>
      <c r="T4" s="16">
        <f t="shared" ref="T4:T18" si="4">IF($D4&gt;10000,VLOOKUP($M$9,$N$33:$Z$38,13),IF($D4&gt;2000,VLOOKUP($M$9,$N$33:$Z$38,11),IF($D4&gt;1000,VLOOKUP($M$9,$N$33:$Z$38,9),IF($D4&gt;500,VLOOKUP($M$9,$N$33:$Z$38,7),IF($D4&gt;300,VLOOKUP($M$9,$N$33:$Z$38,5),VLOOKUP($M$9,$N$33:$Z$38,3))))))</f>
        <v>0.104634</v>
      </c>
      <c r="U4" s="16">
        <f t="shared" ref="U4:U18" si="5">T4*POWER($D4,S4)</f>
        <v>0</v>
      </c>
      <c r="V4" s="26">
        <v>25</v>
      </c>
      <c r="W4" s="16">
        <v>5</v>
      </c>
      <c r="X4" s="16" t="str">
        <f>IF(ISBLANK($F4),"",(11.3*F4*$H$6*U4*SQRT(POWER(R4,2)+POWER(V4,2))*EXP(POWER(W4,2)/(2*POWER(U4,2)))*0.001*24))</f>
        <v/>
      </c>
      <c r="AA4" s="27" t="s">
        <v>24</v>
      </c>
      <c r="AB4" s="1">
        <v>1.02</v>
      </c>
    </row>
    <row r="5" spans="2:28" ht="25.9" customHeight="1">
      <c r="B5" s="50"/>
      <c r="C5" s="7" t="s">
        <v>25</v>
      </c>
      <c r="D5" s="7"/>
      <c r="E5" s="7"/>
      <c r="F5" s="8"/>
      <c r="G5" s="9" t="s">
        <v>26</v>
      </c>
      <c r="H5" s="34" t="s">
        <v>27</v>
      </c>
      <c r="I5" s="34"/>
      <c r="J5" s="34"/>
      <c r="K5" s="35"/>
      <c r="M5" s="2" t="str">
        <f>IF(OR(H4=1,AND(H4=2,J4&lt;6),AND(H4=11,J4&gt;5),H4=12),1,IF(OR(AND(H4=2,J4&gt;5),H4=3,AND(H4=4,J4&lt;29),AND(H4=8,J4&gt;14),H4=9,H4=10,AND(H4=11,J4&lt;6)),2,IF(OR(AND(H4=4,J4&gt;28),H4=5,H4=6,H4=7,AND(H4=8,J4&lt;15)),3,"未选择")))</f>
        <v>未选择</v>
      </c>
      <c r="N5" s="33"/>
      <c r="O5" s="16" t="s">
        <v>25</v>
      </c>
      <c r="P5" s="16">
        <f t="shared" si="0"/>
        <v>0.929481</v>
      </c>
      <c r="Q5" s="16">
        <f t="shared" si="1"/>
        <v>0.110726</v>
      </c>
      <c r="R5" s="16">
        <f t="shared" si="2"/>
        <v>0</v>
      </c>
      <c r="S5" s="16">
        <f t="shared" si="3"/>
        <v>0.82621199999999995</v>
      </c>
      <c r="T5" s="16">
        <f t="shared" si="4"/>
        <v>0.104634</v>
      </c>
      <c r="U5" s="16">
        <f t="shared" si="5"/>
        <v>0</v>
      </c>
      <c r="V5" s="26">
        <v>25</v>
      </c>
      <c r="W5" s="26">
        <v>5</v>
      </c>
      <c r="X5" s="16" t="str">
        <f>IF(ISBLANK($F5),"",(11.3*F5*$H$6*U5*SQRT(POWER(R5,2)+POWER(V5,2))*EXP(POWER(W5,2)/(2*POWER(U5,2)))*0.001*24))</f>
        <v/>
      </c>
      <c r="AA5" s="1" t="s">
        <v>28</v>
      </c>
      <c r="AB5" s="28" t="str">
        <f>IF(H9="无控制措施",0%,IF(AND(H9="定期洒水",H7="TSP"),61%,IF(AND(H9="定期洒水",H7="PM10"),59%,IF(AND(H9="化学覆盖剂或苫盖",H7="TSP"),86%,IF(AND(H9="化学覆盖剂或苫盖",H7="PM10"),85%,IF(AND(H9="定期洒水 + 化学覆盖剂或苫盖",H7="TSP"),86%,IF(AND(H9="定期洒水 + 化学覆盖剂或苫盖",H7="PM10"),85%,IF(H9="全封闭",100%,""))))))))</f>
        <v/>
      </c>
    </row>
    <row r="6" spans="2:28" ht="25.9" customHeight="1">
      <c r="B6" s="50"/>
      <c r="C6" s="7" t="s">
        <v>29</v>
      </c>
      <c r="D6" s="7"/>
      <c r="E6" s="7"/>
      <c r="F6" s="8"/>
      <c r="G6" s="6" t="s">
        <v>30</v>
      </c>
      <c r="H6" s="34"/>
      <c r="I6" s="34"/>
      <c r="J6" s="34"/>
      <c r="K6" s="35"/>
      <c r="M6" s="2" t="s">
        <v>31</v>
      </c>
      <c r="N6" s="33"/>
      <c r="O6" s="16" t="s">
        <v>29</v>
      </c>
      <c r="P6" s="16">
        <f t="shared" si="0"/>
        <v>0.929481</v>
      </c>
      <c r="Q6" s="16">
        <f t="shared" si="1"/>
        <v>0.110726</v>
      </c>
      <c r="R6" s="16">
        <f t="shared" si="2"/>
        <v>0</v>
      </c>
      <c r="S6" s="16">
        <f t="shared" si="3"/>
        <v>0.82621199999999995</v>
      </c>
      <c r="T6" s="16">
        <f t="shared" si="4"/>
        <v>0.104634</v>
      </c>
      <c r="U6" s="16">
        <f t="shared" si="5"/>
        <v>0</v>
      </c>
      <c r="V6" s="26">
        <v>25</v>
      </c>
      <c r="W6" s="16">
        <v>5</v>
      </c>
      <c r="X6" s="16" t="str">
        <f>IF(ISBLANK($F6),"",(11.3*F6*$H$6*U6*SQRT(POWER(R6,2)+POWER(V6,2))*EXP(POWER(W6,2)/(2*POWER(U6,2)))*0.001*24))</f>
        <v/>
      </c>
      <c r="AA6" s="27" t="s">
        <v>32</v>
      </c>
      <c r="AB6" s="29" t="str">
        <f>IF(H7="TSP",1,IF(H7="PM10",0.5,""))</f>
        <v/>
      </c>
    </row>
    <row r="7" spans="2:28" ht="25.9" customHeight="1">
      <c r="B7" s="50" t="s">
        <v>33</v>
      </c>
      <c r="C7" s="7" t="s">
        <v>17</v>
      </c>
      <c r="D7" s="7"/>
      <c r="E7" s="7"/>
      <c r="F7" s="8"/>
      <c r="G7" s="9" t="s">
        <v>34</v>
      </c>
      <c r="H7" s="34" t="s">
        <v>27</v>
      </c>
      <c r="I7" s="34"/>
      <c r="J7" s="34"/>
      <c r="K7" s="35"/>
      <c r="M7" s="2" t="str">
        <f>IF(OR(M3=1,M3=2),M5,IF(AND(M3=3,M5=1),0,IF(AND(M3=3,M5&gt;1),1,IF(AND(M3=4,M5&lt;3),0,IF(AND(M3=4,M5=3),1,IF(M3=5,0,"未选择"))))))</f>
        <v>未选择</v>
      </c>
      <c r="N7" s="33" t="s">
        <v>33</v>
      </c>
      <c r="O7" s="16" t="s">
        <v>17</v>
      </c>
      <c r="P7" s="16">
        <f t="shared" si="0"/>
        <v>0.929481</v>
      </c>
      <c r="Q7" s="16">
        <f t="shared" si="1"/>
        <v>0.110726</v>
      </c>
      <c r="R7" s="16">
        <f t="shared" si="2"/>
        <v>0</v>
      </c>
      <c r="S7" s="16">
        <f t="shared" si="3"/>
        <v>0.82621199999999995</v>
      </c>
      <c r="T7" s="16">
        <f t="shared" si="4"/>
        <v>0.104634</v>
      </c>
      <c r="U7" s="16">
        <f t="shared" si="5"/>
        <v>0</v>
      </c>
      <c r="V7" s="26">
        <v>25</v>
      </c>
      <c r="W7" s="26">
        <v>5</v>
      </c>
      <c r="X7" s="16" t="str">
        <f t="shared" ref="X7:X18" si="6">IF(ISBLANK($F7),"",(11.3*F7*$H$6*U7*SQRT(POWER(R7,2)+POWER(V7,2))*EXP(POWER(W7,2)/(2*POWER(U7,2)))*0.001*24))</f>
        <v/>
      </c>
      <c r="AA7" s="1" t="s">
        <v>35</v>
      </c>
      <c r="AB7" s="1">
        <f>IF(AB3&lt;=AB4,0,(58*POWER((AB3-AB4),2)+25*(AB3-AB4)))</f>
        <v>0</v>
      </c>
    </row>
    <row r="8" spans="2:28" ht="25.9" customHeight="1">
      <c r="B8" s="50"/>
      <c r="C8" s="7" t="s">
        <v>19</v>
      </c>
      <c r="D8" s="7"/>
      <c r="E8" s="7"/>
      <c r="F8" s="8"/>
      <c r="G8" s="9" t="s">
        <v>36</v>
      </c>
      <c r="H8" s="36"/>
      <c r="I8" s="36"/>
      <c r="J8" s="36"/>
      <c r="K8" s="37"/>
      <c r="M8" s="2" t="s">
        <v>37</v>
      </c>
      <c r="N8" s="33"/>
      <c r="O8" s="16" t="s">
        <v>19</v>
      </c>
      <c r="P8" s="16">
        <f t="shared" si="0"/>
        <v>0.929481</v>
      </c>
      <c r="Q8" s="16">
        <f t="shared" si="1"/>
        <v>0.110726</v>
      </c>
      <c r="R8" s="16">
        <f t="shared" si="2"/>
        <v>0</v>
      </c>
      <c r="S8" s="16">
        <f t="shared" si="3"/>
        <v>0.82621199999999995</v>
      </c>
      <c r="T8" s="16">
        <f t="shared" si="4"/>
        <v>0.104634</v>
      </c>
      <c r="U8" s="16">
        <f t="shared" si="5"/>
        <v>0</v>
      </c>
      <c r="V8" s="26">
        <v>25</v>
      </c>
      <c r="W8" s="16">
        <v>5</v>
      </c>
      <c r="X8" s="16" t="str">
        <f t="shared" si="6"/>
        <v/>
      </c>
      <c r="AA8" s="1" t="s">
        <v>38</v>
      </c>
      <c r="AB8" s="1" t="e">
        <f>AB6*AB7*(1-AB5)*0.001</f>
        <v>#VALUE!</v>
      </c>
    </row>
    <row r="9" spans="2:28" ht="25.9" customHeight="1">
      <c r="B9" s="50"/>
      <c r="C9" s="7" t="s">
        <v>25</v>
      </c>
      <c r="D9" s="7"/>
      <c r="E9" s="7"/>
      <c r="F9" s="8"/>
      <c r="G9" s="10" t="s">
        <v>39</v>
      </c>
      <c r="H9" s="38" t="s">
        <v>40</v>
      </c>
      <c r="I9" s="38"/>
      <c r="J9" s="38"/>
      <c r="K9" s="39"/>
      <c r="M9" s="2" t="str">
        <f>IF(M7=0,"D",IF(AND(M7=1,H6&lt;2),"B",IF(AND(M7=1,H6&lt;5),"C",IF(AND(M7=1,H6&gt;=5),"D",IF(AND(M7=2,H6&lt;2),"B",IF(AND(M7=2,H6&lt;3),"B",IF(AND(M7=2,H6&lt;5),"B-C",IF(AND(M7=2,H6&lt;6),"C-D",IF(AND(M7=2,H6&gt;=6),"D",IF(AND(M7=3,H6&lt;2),"A",IF(AND(M7=3,H6&lt;3),"B",IF(AND(M7=3,H6&lt;5),"B",IF(AND(M7=3,H6&lt;6),"C",IF(AND(M7=3,H6&gt;=6),"D","未选择"))))))))))))))</f>
        <v>未选择</v>
      </c>
      <c r="N9" s="33"/>
      <c r="O9" s="16" t="s">
        <v>25</v>
      </c>
      <c r="P9" s="16">
        <f t="shared" si="0"/>
        <v>0.929481</v>
      </c>
      <c r="Q9" s="16">
        <f t="shared" si="1"/>
        <v>0.110726</v>
      </c>
      <c r="R9" s="16">
        <f t="shared" si="2"/>
        <v>0</v>
      </c>
      <c r="S9" s="16">
        <f t="shared" si="3"/>
        <v>0.82621199999999995</v>
      </c>
      <c r="T9" s="16">
        <f t="shared" si="4"/>
        <v>0.104634</v>
      </c>
      <c r="U9" s="16">
        <f t="shared" si="5"/>
        <v>0</v>
      </c>
      <c r="V9" s="26">
        <v>25</v>
      </c>
      <c r="W9" s="26">
        <v>5</v>
      </c>
      <c r="X9" s="16" t="str">
        <f t="shared" si="6"/>
        <v/>
      </c>
    </row>
    <row r="10" spans="2:28" ht="25.9" customHeight="1">
      <c r="B10" s="50"/>
      <c r="C10" s="7" t="s">
        <v>29</v>
      </c>
      <c r="D10" s="7"/>
      <c r="E10" s="7"/>
      <c r="F10" s="8"/>
      <c r="G10" s="52" t="s">
        <v>41</v>
      </c>
      <c r="H10" s="53"/>
      <c r="I10" s="53"/>
      <c r="J10" s="53"/>
      <c r="K10" s="54"/>
      <c r="M10" s="18"/>
      <c r="N10" s="33"/>
      <c r="O10" s="16" t="s">
        <v>29</v>
      </c>
      <c r="P10" s="16">
        <f t="shared" si="0"/>
        <v>0.929481</v>
      </c>
      <c r="Q10" s="16">
        <f t="shared" si="1"/>
        <v>0.110726</v>
      </c>
      <c r="R10" s="16">
        <f t="shared" si="2"/>
        <v>0</v>
      </c>
      <c r="S10" s="16">
        <f t="shared" si="3"/>
        <v>0.82621199999999995</v>
      </c>
      <c r="T10" s="16">
        <f t="shared" si="4"/>
        <v>0.104634</v>
      </c>
      <c r="U10" s="16">
        <f t="shared" si="5"/>
        <v>0</v>
      </c>
      <c r="V10" s="26">
        <v>25</v>
      </c>
      <c r="W10" s="16">
        <v>5</v>
      </c>
      <c r="X10" s="16" t="str">
        <f t="shared" si="6"/>
        <v/>
      </c>
    </row>
    <row r="11" spans="2:28" ht="25.9" customHeight="1">
      <c r="B11" s="50" t="s">
        <v>42</v>
      </c>
      <c r="C11" s="7" t="s">
        <v>17</v>
      </c>
      <c r="D11" s="7"/>
      <c r="E11" s="7"/>
      <c r="F11" s="8"/>
      <c r="G11" s="55"/>
      <c r="H11" s="56"/>
      <c r="I11" s="56"/>
      <c r="J11" s="56"/>
      <c r="K11" s="57"/>
      <c r="M11" s="2"/>
      <c r="N11" s="33" t="s">
        <v>42</v>
      </c>
      <c r="O11" s="16" t="s">
        <v>17</v>
      </c>
      <c r="P11" s="16">
        <f t="shared" si="0"/>
        <v>0.929481</v>
      </c>
      <c r="Q11" s="16">
        <f t="shared" si="1"/>
        <v>0.110726</v>
      </c>
      <c r="R11" s="16">
        <f t="shared" si="2"/>
        <v>0</v>
      </c>
      <c r="S11" s="16">
        <f t="shared" si="3"/>
        <v>0.82621199999999995</v>
      </c>
      <c r="T11" s="16">
        <f t="shared" si="4"/>
        <v>0.104634</v>
      </c>
      <c r="U11" s="16">
        <f t="shared" si="5"/>
        <v>0</v>
      </c>
      <c r="V11" s="26">
        <v>25</v>
      </c>
      <c r="W11" s="26">
        <v>5</v>
      </c>
      <c r="X11" s="16" t="str">
        <f t="shared" si="6"/>
        <v/>
      </c>
    </row>
    <row r="12" spans="2:28" ht="25.9" customHeight="1">
      <c r="B12" s="50"/>
      <c r="C12" s="7" t="s">
        <v>19</v>
      </c>
      <c r="D12" s="7"/>
      <c r="E12" s="7"/>
      <c r="F12" s="8"/>
      <c r="G12" s="11" t="s">
        <v>43</v>
      </c>
      <c r="H12" s="40">
        <f>IFERROR((IF($H$7="PM10",AVERAGE(X3:X6)/0.74,AVERAGE(X3:X6))),0)</f>
        <v>0</v>
      </c>
      <c r="I12" s="40"/>
      <c r="J12" s="40"/>
      <c r="K12" s="41"/>
      <c r="M12" s="18"/>
      <c r="N12" s="33"/>
      <c r="O12" s="16" t="s">
        <v>19</v>
      </c>
      <c r="P12" s="16">
        <f t="shared" si="0"/>
        <v>0.929481</v>
      </c>
      <c r="Q12" s="16">
        <f t="shared" si="1"/>
        <v>0.110726</v>
      </c>
      <c r="R12" s="16">
        <f t="shared" si="2"/>
        <v>0</v>
      </c>
      <c r="S12" s="16">
        <f t="shared" si="3"/>
        <v>0.82621199999999995</v>
      </c>
      <c r="T12" s="16">
        <f t="shared" si="4"/>
        <v>0.104634</v>
      </c>
      <c r="U12" s="16">
        <f t="shared" si="5"/>
        <v>0</v>
      </c>
      <c r="V12" s="26">
        <v>25</v>
      </c>
      <c r="W12" s="16">
        <v>5</v>
      </c>
      <c r="X12" s="16" t="str">
        <f t="shared" si="6"/>
        <v/>
      </c>
    </row>
    <row r="13" spans="2:28" ht="25.9" customHeight="1">
      <c r="B13" s="50"/>
      <c r="C13" s="7" t="s">
        <v>25</v>
      </c>
      <c r="D13" s="7"/>
      <c r="E13" s="7"/>
      <c r="F13" s="8"/>
      <c r="G13" s="11" t="s">
        <v>44</v>
      </c>
      <c r="H13" s="40">
        <f>IFERROR((IF($H$7="PM10",AVERAGE(X7:X10)/0.74,AVERAGE(X7:X10))),0)</f>
        <v>0</v>
      </c>
      <c r="I13" s="40"/>
      <c r="J13" s="40"/>
      <c r="K13" s="41"/>
      <c r="M13" s="2"/>
      <c r="N13" s="33"/>
      <c r="O13" s="16" t="s">
        <v>25</v>
      </c>
      <c r="P13" s="16">
        <f t="shared" si="0"/>
        <v>0.929481</v>
      </c>
      <c r="Q13" s="16">
        <f t="shared" si="1"/>
        <v>0.110726</v>
      </c>
      <c r="R13" s="16">
        <f t="shared" si="2"/>
        <v>0</v>
      </c>
      <c r="S13" s="16">
        <f t="shared" si="3"/>
        <v>0.82621199999999995</v>
      </c>
      <c r="T13" s="16">
        <f t="shared" si="4"/>
        <v>0.104634</v>
      </c>
      <c r="U13" s="16">
        <f t="shared" si="5"/>
        <v>0</v>
      </c>
      <c r="V13" s="26">
        <v>25</v>
      </c>
      <c r="W13" s="26">
        <v>5</v>
      </c>
      <c r="X13" s="16" t="str">
        <f t="shared" si="6"/>
        <v/>
      </c>
    </row>
    <row r="14" spans="2:28" ht="25.9" customHeight="1">
      <c r="B14" s="50"/>
      <c r="C14" s="7" t="s">
        <v>29</v>
      </c>
      <c r="D14" s="7"/>
      <c r="E14" s="7"/>
      <c r="F14" s="8"/>
      <c r="G14" s="11" t="s">
        <v>45</v>
      </c>
      <c r="H14" s="40">
        <f>IFERROR((IF($H$7="PM10",AVERAGE(X11:X14)/0.74,AVERAGE(X11:X14))),0)</f>
        <v>0</v>
      </c>
      <c r="I14" s="40"/>
      <c r="J14" s="40"/>
      <c r="K14" s="41"/>
      <c r="M14" s="2"/>
      <c r="N14" s="33"/>
      <c r="O14" s="16" t="s">
        <v>29</v>
      </c>
      <c r="P14" s="16">
        <f t="shared" si="0"/>
        <v>0.929481</v>
      </c>
      <c r="Q14" s="16">
        <f t="shared" si="1"/>
        <v>0.110726</v>
      </c>
      <c r="R14" s="16">
        <f t="shared" si="2"/>
        <v>0</v>
      </c>
      <c r="S14" s="16">
        <f t="shared" si="3"/>
        <v>0.82621199999999995</v>
      </c>
      <c r="T14" s="16">
        <f t="shared" si="4"/>
        <v>0.104634</v>
      </c>
      <c r="U14" s="16">
        <f t="shared" si="5"/>
        <v>0</v>
      </c>
      <c r="V14" s="26">
        <v>25</v>
      </c>
      <c r="W14" s="16">
        <v>5</v>
      </c>
      <c r="X14" s="16" t="str">
        <f t="shared" si="6"/>
        <v/>
      </c>
    </row>
    <row r="15" spans="2:28" ht="25.9" customHeight="1">
      <c r="B15" s="50" t="s">
        <v>46</v>
      </c>
      <c r="C15" s="7" t="s">
        <v>17</v>
      </c>
      <c r="D15" s="7"/>
      <c r="E15" s="7"/>
      <c r="F15" s="8"/>
      <c r="G15" s="11" t="s">
        <v>47</v>
      </c>
      <c r="H15" s="40">
        <f>IFERROR((IF($H$7="PM10",AVERAGE(X15:X18)/0.74,AVERAGE(X15:X18))),0)</f>
        <v>0</v>
      </c>
      <c r="I15" s="40"/>
      <c r="J15" s="40"/>
      <c r="K15" s="41"/>
      <c r="M15" s="2"/>
      <c r="N15" s="33" t="s">
        <v>46</v>
      </c>
      <c r="O15" s="16" t="s">
        <v>17</v>
      </c>
      <c r="P15" s="16">
        <f t="shared" si="0"/>
        <v>0.929481</v>
      </c>
      <c r="Q15" s="16">
        <f t="shared" si="1"/>
        <v>0.110726</v>
      </c>
      <c r="R15" s="16">
        <f t="shared" si="2"/>
        <v>0</v>
      </c>
      <c r="S15" s="16">
        <f t="shared" si="3"/>
        <v>0.82621199999999995</v>
      </c>
      <c r="T15" s="16">
        <f t="shared" si="4"/>
        <v>0.104634</v>
      </c>
      <c r="U15" s="16">
        <f t="shared" si="5"/>
        <v>0</v>
      </c>
      <c r="V15" s="26">
        <v>25</v>
      </c>
      <c r="W15" s="16">
        <v>20</v>
      </c>
      <c r="X15" s="16" t="str">
        <f t="shared" si="6"/>
        <v/>
      </c>
    </row>
    <row r="16" spans="2:28" ht="25.9" customHeight="1">
      <c r="B16" s="50"/>
      <c r="C16" s="7" t="s">
        <v>19</v>
      </c>
      <c r="D16" s="7"/>
      <c r="E16" s="7"/>
      <c r="F16" s="8"/>
      <c r="G16" s="12" t="s">
        <v>48</v>
      </c>
      <c r="H16" s="40">
        <f>SUM(H12:H15)</f>
        <v>0</v>
      </c>
      <c r="I16" s="40"/>
      <c r="J16" s="40"/>
      <c r="K16" s="41"/>
      <c r="M16" s="2"/>
      <c r="N16" s="33"/>
      <c r="O16" s="16" t="s">
        <v>19</v>
      </c>
      <c r="P16" s="16">
        <f t="shared" si="0"/>
        <v>0.929481</v>
      </c>
      <c r="Q16" s="16">
        <f t="shared" si="1"/>
        <v>0.110726</v>
      </c>
      <c r="R16" s="16">
        <f t="shared" si="2"/>
        <v>0</v>
      </c>
      <c r="S16" s="16">
        <f t="shared" si="3"/>
        <v>0.82621199999999995</v>
      </c>
      <c r="T16" s="16">
        <f t="shared" si="4"/>
        <v>0.104634</v>
      </c>
      <c r="U16" s="16">
        <f t="shared" si="5"/>
        <v>0</v>
      </c>
      <c r="V16" s="26">
        <v>25</v>
      </c>
      <c r="W16" s="16">
        <v>20</v>
      </c>
      <c r="X16" s="16" t="str">
        <f t="shared" si="6"/>
        <v/>
      </c>
    </row>
    <row r="17" spans="2:26" ht="25.9" customHeight="1">
      <c r="B17" s="50"/>
      <c r="C17" s="7" t="s">
        <v>25</v>
      </c>
      <c r="D17" s="7"/>
      <c r="E17" s="7"/>
      <c r="F17" s="8"/>
      <c r="G17" s="11" t="s">
        <v>49</v>
      </c>
      <c r="H17" s="42" t="str">
        <f>IFERROR((AB8*(H8*1.1)),"")</f>
        <v/>
      </c>
      <c r="I17" s="42"/>
      <c r="J17" s="42"/>
      <c r="K17" s="43"/>
      <c r="M17" s="2"/>
      <c r="N17" s="33"/>
      <c r="O17" s="16" t="s">
        <v>25</v>
      </c>
      <c r="P17" s="16">
        <f t="shared" si="0"/>
        <v>0.929481</v>
      </c>
      <c r="Q17" s="16">
        <f t="shared" si="1"/>
        <v>0.110726</v>
      </c>
      <c r="R17" s="16">
        <f t="shared" si="2"/>
        <v>0</v>
      </c>
      <c r="S17" s="16">
        <f t="shared" si="3"/>
        <v>0.82621199999999995</v>
      </c>
      <c r="T17" s="16">
        <f t="shared" si="4"/>
        <v>0.104634</v>
      </c>
      <c r="U17" s="16">
        <f t="shared" si="5"/>
        <v>0</v>
      </c>
      <c r="V17" s="26">
        <v>25</v>
      </c>
      <c r="W17" s="16">
        <v>20</v>
      </c>
      <c r="X17" s="16" t="str">
        <f t="shared" si="6"/>
        <v/>
      </c>
    </row>
    <row r="18" spans="2:26" ht="25.9" customHeight="1">
      <c r="B18" s="51"/>
      <c r="C18" s="13" t="s">
        <v>29</v>
      </c>
      <c r="D18" s="13"/>
      <c r="E18" s="13"/>
      <c r="F18" s="14"/>
      <c r="G18" s="15" t="s">
        <v>50</v>
      </c>
      <c r="H18" s="44" t="str">
        <f>IFERROR((H17+H16),"")</f>
        <v/>
      </c>
      <c r="I18" s="44"/>
      <c r="J18" s="44"/>
      <c r="K18" s="45"/>
      <c r="M18" s="2"/>
      <c r="N18" s="33"/>
      <c r="O18" s="16" t="s">
        <v>29</v>
      </c>
      <c r="P18" s="16">
        <f t="shared" si="0"/>
        <v>0.929481</v>
      </c>
      <c r="Q18" s="16">
        <f t="shared" si="1"/>
        <v>0.110726</v>
      </c>
      <c r="R18" s="16">
        <f t="shared" si="2"/>
        <v>0</v>
      </c>
      <c r="S18" s="16">
        <f t="shared" si="3"/>
        <v>0.82621199999999995</v>
      </c>
      <c r="T18" s="16">
        <f t="shared" si="4"/>
        <v>0.104634</v>
      </c>
      <c r="U18" s="16">
        <f t="shared" si="5"/>
        <v>0</v>
      </c>
      <c r="V18" s="26">
        <v>25</v>
      </c>
      <c r="W18" s="16">
        <v>20</v>
      </c>
      <c r="X18" s="16" t="str">
        <f t="shared" si="6"/>
        <v/>
      </c>
    </row>
    <row r="19" spans="2:26" ht="25.9" customHeight="1">
      <c r="L19" s="19"/>
    </row>
    <row r="20" spans="2:26" ht="25.9" customHeight="1">
      <c r="B20" s="46" t="s">
        <v>51</v>
      </c>
      <c r="C20" s="46"/>
      <c r="D20" s="46"/>
      <c r="E20" s="46"/>
      <c r="F20" s="46"/>
      <c r="G20" s="46"/>
      <c r="H20" s="46"/>
      <c r="I20" s="46"/>
      <c r="J20" s="46"/>
      <c r="K20" s="46"/>
      <c r="L20" s="20"/>
      <c r="M20" s="21"/>
      <c r="N20" s="33" t="s">
        <v>52</v>
      </c>
      <c r="O20" s="33"/>
      <c r="P20" s="33"/>
      <c r="Q20" s="33"/>
      <c r="R20" s="33"/>
      <c r="S20" s="1"/>
      <c r="T20" s="1" t="s">
        <v>40</v>
      </c>
      <c r="U20" s="1"/>
    </row>
    <row r="21" spans="2:26" ht="25.9" customHeight="1">
      <c r="B21" s="47" t="s">
        <v>53</v>
      </c>
      <c r="C21" s="47"/>
      <c r="D21" s="47"/>
      <c r="E21" s="47"/>
      <c r="F21" s="47"/>
      <c r="G21" s="47"/>
      <c r="H21" s="47"/>
      <c r="I21" s="47"/>
      <c r="J21" s="47"/>
      <c r="K21" s="47"/>
      <c r="L21" s="22"/>
      <c r="M21" s="23"/>
      <c r="N21" s="49" t="s">
        <v>54</v>
      </c>
      <c r="O21" s="48" t="s">
        <v>55</v>
      </c>
      <c r="P21" s="49"/>
      <c r="Q21" s="48" t="s">
        <v>56</v>
      </c>
      <c r="R21" s="49"/>
      <c r="S21" s="1"/>
      <c r="T21" s="1" t="s">
        <v>57</v>
      </c>
      <c r="U21" s="1"/>
    </row>
    <row r="22" spans="2:26" ht="25.9" customHeight="1">
      <c r="B22" s="47" t="s">
        <v>58</v>
      </c>
      <c r="C22" s="47"/>
      <c r="D22" s="47"/>
      <c r="E22" s="47"/>
      <c r="F22" s="47"/>
      <c r="G22" s="47"/>
      <c r="H22" s="47"/>
      <c r="I22" s="47"/>
      <c r="J22" s="47"/>
      <c r="K22" s="47"/>
      <c r="L22" s="22"/>
      <c r="M22" s="23"/>
      <c r="N22" s="49"/>
      <c r="O22" s="24" t="s">
        <v>59</v>
      </c>
      <c r="P22" s="24" t="s">
        <v>60</v>
      </c>
      <c r="Q22" s="24" t="s">
        <v>59</v>
      </c>
      <c r="R22" s="24" t="s">
        <v>60</v>
      </c>
      <c r="S22" s="1"/>
      <c r="T22" s="1" t="s">
        <v>61</v>
      </c>
      <c r="U22" s="1"/>
    </row>
    <row r="23" spans="2:26" ht="25.9" customHeight="1">
      <c r="B23" s="47" t="s">
        <v>62</v>
      </c>
      <c r="C23" s="47"/>
      <c r="D23" s="47"/>
      <c r="E23" s="47"/>
      <c r="F23" s="47"/>
      <c r="G23" s="47"/>
      <c r="H23" s="47"/>
      <c r="I23" s="47"/>
      <c r="J23" s="47"/>
      <c r="K23" s="47"/>
      <c r="L23" s="22"/>
      <c r="M23" s="23"/>
      <c r="N23" s="24" t="s">
        <v>63</v>
      </c>
      <c r="O23" s="25">
        <v>0.90107400000000004</v>
      </c>
      <c r="P23" s="25">
        <v>0.42580899999999999</v>
      </c>
      <c r="Q23" s="25">
        <v>0.85093399999999997</v>
      </c>
      <c r="R23" s="25">
        <v>0.60205200000000003</v>
      </c>
      <c r="S23" s="1"/>
      <c r="T23" s="1" t="s">
        <v>64</v>
      </c>
      <c r="U23" s="1"/>
    </row>
    <row r="24" spans="2:26" ht="25.9" customHeight="1">
      <c r="B24" s="47" t="s">
        <v>65</v>
      </c>
      <c r="C24" s="47"/>
      <c r="D24" s="47"/>
      <c r="E24" s="47"/>
      <c r="F24" s="47"/>
      <c r="G24" s="47"/>
      <c r="H24" s="47"/>
      <c r="I24" s="47"/>
      <c r="J24" s="47"/>
      <c r="K24" s="47"/>
      <c r="L24" s="22"/>
      <c r="M24" s="23"/>
      <c r="N24" s="24" t="s">
        <v>66</v>
      </c>
      <c r="O24" s="25">
        <v>0.91437000000000002</v>
      </c>
      <c r="P24" s="25">
        <v>0.28184599999999999</v>
      </c>
      <c r="Q24" s="25">
        <v>0.86501399999999995</v>
      </c>
      <c r="R24" s="25">
        <v>0.39635300000000001</v>
      </c>
      <c r="S24" s="1"/>
      <c r="T24" s="1" t="s">
        <v>67</v>
      </c>
      <c r="U24" s="1"/>
    </row>
    <row r="25" spans="2:26" ht="25.9" customHeight="1">
      <c r="B25" s="47" t="s">
        <v>68</v>
      </c>
      <c r="C25" s="47"/>
      <c r="D25" s="47"/>
      <c r="E25" s="47"/>
      <c r="F25" s="47"/>
      <c r="G25" s="47"/>
      <c r="H25" s="47"/>
      <c r="I25" s="47"/>
      <c r="J25" s="47"/>
      <c r="K25" s="47"/>
      <c r="L25" s="22"/>
      <c r="M25" s="23"/>
      <c r="N25" s="24" t="s">
        <v>69</v>
      </c>
      <c r="O25" s="25">
        <v>0.91932499999999995</v>
      </c>
      <c r="P25" s="25">
        <v>0.22950000000000001</v>
      </c>
      <c r="Q25" s="25">
        <v>0.87508600000000003</v>
      </c>
      <c r="R25" s="25">
        <v>0.31423800000000002</v>
      </c>
      <c r="S25" s="1"/>
      <c r="T25" s="1" t="s">
        <v>70</v>
      </c>
      <c r="U25" s="1"/>
    </row>
    <row r="26" spans="2:26" ht="25.9" customHeight="1">
      <c r="B26" s="47" t="s">
        <v>71</v>
      </c>
      <c r="C26" s="47"/>
      <c r="D26" s="47"/>
      <c r="E26" s="47"/>
      <c r="F26" s="47"/>
      <c r="G26" s="47"/>
      <c r="H26" s="47"/>
      <c r="I26" s="47"/>
      <c r="J26" s="47"/>
      <c r="K26" s="47"/>
      <c r="L26" s="22"/>
      <c r="M26" s="23"/>
      <c r="N26" s="24" t="s">
        <v>72</v>
      </c>
      <c r="O26" s="25">
        <v>0.92427899999999996</v>
      </c>
      <c r="P26" s="25">
        <v>0.17715400000000001</v>
      </c>
      <c r="Q26" s="25">
        <v>0.88515699999999997</v>
      </c>
      <c r="R26" s="25">
        <v>0.232123</v>
      </c>
      <c r="S26" s="1"/>
      <c r="T26" s="1"/>
      <c r="U26" s="1"/>
    </row>
    <row r="27" spans="2:26" ht="25.9" customHeight="1">
      <c r="B27" s="47" t="s">
        <v>73</v>
      </c>
      <c r="C27" s="47"/>
      <c r="D27" s="47"/>
      <c r="E27" s="47"/>
      <c r="F27" s="47"/>
      <c r="G27" s="47"/>
      <c r="H27" s="47"/>
      <c r="I27" s="47"/>
      <c r="J27" s="47"/>
      <c r="K27" s="47"/>
      <c r="L27" s="22"/>
      <c r="M27" s="23"/>
      <c r="N27" s="24" t="s">
        <v>74</v>
      </c>
      <c r="O27" s="25">
        <v>0.92684900000000003</v>
      </c>
      <c r="P27" s="25">
        <v>0.14394000000000001</v>
      </c>
      <c r="Q27" s="25">
        <v>0.88693999999999995</v>
      </c>
      <c r="R27" s="25">
        <v>0.18939600000000001</v>
      </c>
      <c r="S27" s="1"/>
      <c r="T27" s="1"/>
      <c r="U27" s="1"/>
    </row>
    <row r="28" spans="2:26" ht="25.9" customHeight="1">
      <c r="B28" s="47" t="s">
        <v>75</v>
      </c>
      <c r="C28" s="47"/>
      <c r="D28" s="47"/>
      <c r="E28" s="47"/>
      <c r="F28" s="47"/>
      <c r="G28" s="47"/>
      <c r="H28" s="47"/>
      <c r="I28" s="47"/>
      <c r="J28" s="47"/>
      <c r="K28" s="47"/>
      <c r="L28" s="22"/>
      <c r="M28" s="23"/>
      <c r="N28" s="24" t="s">
        <v>76</v>
      </c>
      <c r="O28" s="25">
        <v>0.929481</v>
      </c>
      <c r="P28" s="25">
        <v>0.110726</v>
      </c>
      <c r="Q28" s="25">
        <v>0.88872300000000004</v>
      </c>
      <c r="R28" s="25">
        <v>0.14666899999999999</v>
      </c>
      <c r="S28" s="1"/>
      <c r="T28" s="1"/>
      <c r="U28" s="1"/>
    </row>
    <row r="29" spans="2:26" ht="25.9" customHeight="1">
      <c r="N29" s="2"/>
      <c r="O29" s="2"/>
      <c r="P29" s="2"/>
      <c r="Q29" s="2"/>
      <c r="R29" s="1"/>
      <c r="S29" s="1"/>
      <c r="T29" s="1"/>
      <c r="U29" s="1"/>
    </row>
    <row r="30" spans="2:26" ht="25.9" customHeight="1">
      <c r="N30" s="33" t="s">
        <v>77</v>
      </c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2:26" ht="25.9" customHeight="1">
      <c r="N31" s="49" t="s">
        <v>54</v>
      </c>
      <c r="O31" s="48" t="s">
        <v>78</v>
      </c>
      <c r="P31" s="49"/>
      <c r="Q31" s="48" t="s">
        <v>79</v>
      </c>
      <c r="R31" s="49"/>
      <c r="S31" s="48" t="s">
        <v>80</v>
      </c>
      <c r="T31" s="49"/>
      <c r="U31" s="48" t="s">
        <v>81</v>
      </c>
      <c r="V31" s="49"/>
      <c r="W31" s="48" t="s">
        <v>82</v>
      </c>
      <c r="X31" s="49"/>
      <c r="Y31" s="48" t="s">
        <v>83</v>
      </c>
      <c r="Z31" s="49"/>
    </row>
    <row r="32" spans="2:26" ht="25.9" customHeight="1">
      <c r="N32" s="49"/>
      <c r="O32" s="24" t="s">
        <v>84</v>
      </c>
      <c r="P32" s="24" t="s">
        <v>85</v>
      </c>
      <c r="Q32" s="24" t="s">
        <v>84</v>
      </c>
      <c r="R32" s="24" t="s">
        <v>85</v>
      </c>
      <c r="S32" s="24" t="s">
        <v>84</v>
      </c>
      <c r="T32" s="24" t="s">
        <v>85</v>
      </c>
      <c r="U32" s="24" t="s">
        <v>84</v>
      </c>
      <c r="V32" s="24" t="s">
        <v>85</v>
      </c>
      <c r="W32" s="24" t="s">
        <v>84</v>
      </c>
      <c r="X32" s="24" t="s">
        <v>85</v>
      </c>
      <c r="Y32" s="24" t="s">
        <v>84</v>
      </c>
      <c r="Z32" s="24" t="s">
        <v>85</v>
      </c>
    </row>
    <row r="33" spans="14:26" ht="25.9" customHeight="1">
      <c r="N33" s="24" t="s">
        <v>63</v>
      </c>
      <c r="O33" s="24">
        <v>1.12154</v>
      </c>
      <c r="P33" s="24">
        <v>7.9990400000000003E-2</v>
      </c>
      <c r="Q33" s="24">
        <v>1.5136000000000001</v>
      </c>
      <c r="R33" s="24">
        <v>8.54771E-3</v>
      </c>
      <c r="S33" s="24">
        <v>2.1088100000000001</v>
      </c>
      <c r="T33" s="24">
        <v>2.1154499999999999E-4</v>
      </c>
      <c r="U33" s="24">
        <v>2.1088100000000001</v>
      </c>
      <c r="V33" s="24">
        <v>2.1154499999999999E-4</v>
      </c>
      <c r="W33" s="24">
        <v>2.1088100000000001</v>
      </c>
      <c r="X33" s="24">
        <v>2.1154499999999999E-4</v>
      </c>
      <c r="Y33" s="24">
        <v>2.1088100000000001</v>
      </c>
      <c r="Z33" s="24">
        <v>2.1154499999999999E-4</v>
      </c>
    </row>
    <row r="34" spans="14:26" ht="25.9" customHeight="1">
      <c r="N34" s="24" t="s">
        <v>66</v>
      </c>
      <c r="O34" s="24">
        <v>0.96143500000000004</v>
      </c>
      <c r="P34" s="24">
        <v>0.12719</v>
      </c>
      <c r="Q34" s="24">
        <v>0.96143500000000004</v>
      </c>
      <c r="R34" s="24">
        <v>0.12719</v>
      </c>
      <c r="S34" s="24">
        <v>1.0935600000000001</v>
      </c>
      <c r="T34" s="24">
        <v>5.7025100000000002E-2</v>
      </c>
      <c r="U34" s="24">
        <v>1.0935600000000001</v>
      </c>
      <c r="V34" s="24">
        <v>5.7025100000000002E-2</v>
      </c>
      <c r="W34" s="24">
        <v>1.0935600000000001</v>
      </c>
      <c r="X34" s="24">
        <v>5.7025100000000002E-2</v>
      </c>
      <c r="Y34" s="24">
        <v>1.0935600000000001</v>
      </c>
      <c r="Z34" s="24">
        <v>5.7025100000000002E-2</v>
      </c>
    </row>
    <row r="35" spans="14:26" ht="25.9" customHeight="1">
      <c r="N35" s="24" t="s">
        <v>69</v>
      </c>
      <c r="O35" s="24">
        <v>0.94101500000000005</v>
      </c>
      <c r="P35" s="24">
        <v>0.11468200000000001</v>
      </c>
      <c r="Q35" s="24">
        <v>0.94101500000000005</v>
      </c>
      <c r="R35" s="24">
        <v>0.11468200000000001</v>
      </c>
      <c r="S35" s="24">
        <v>1.0077</v>
      </c>
      <c r="T35" s="24">
        <v>7.5718199999999999E-2</v>
      </c>
      <c r="U35" s="24">
        <v>1.0077</v>
      </c>
      <c r="V35" s="24">
        <v>7.5718199999999999E-2</v>
      </c>
      <c r="W35" s="24">
        <v>1.0077</v>
      </c>
      <c r="X35" s="24">
        <v>7.5718199999999999E-2</v>
      </c>
      <c r="Y35" s="24">
        <v>1.0077</v>
      </c>
      <c r="Z35" s="24">
        <v>7.5718199999999999E-2</v>
      </c>
    </row>
    <row r="36" spans="14:26" ht="25.9" customHeight="1">
      <c r="N36" s="24" t="s">
        <v>72</v>
      </c>
      <c r="O36" s="24">
        <v>0.91759500000000005</v>
      </c>
      <c r="P36" s="24">
        <v>0.106803</v>
      </c>
      <c r="Q36" s="24">
        <v>0.91759500000000005</v>
      </c>
      <c r="R36" s="24">
        <v>0.106803</v>
      </c>
      <c r="S36" s="24">
        <v>0.91759500000000005</v>
      </c>
      <c r="T36" s="24">
        <v>0.106803</v>
      </c>
      <c r="U36" s="24">
        <v>0.91759500000000005</v>
      </c>
      <c r="V36" s="24">
        <v>0.106803</v>
      </c>
      <c r="W36" s="24">
        <v>0.91759500000000005</v>
      </c>
      <c r="X36" s="24">
        <v>0.106803</v>
      </c>
      <c r="Y36" s="24">
        <v>0.91759500000000005</v>
      </c>
      <c r="Z36" s="24">
        <v>0.106803</v>
      </c>
    </row>
    <row r="37" spans="14:26" ht="25.9" customHeight="1">
      <c r="N37" s="24" t="s">
        <v>74</v>
      </c>
      <c r="O37" s="24">
        <v>0.83862800000000004</v>
      </c>
      <c r="P37" s="24">
        <v>0.12615199999999999</v>
      </c>
      <c r="Q37" s="24">
        <v>0.83862800000000004</v>
      </c>
      <c r="R37" s="24">
        <v>0.12615199999999999</v>
      </c>
      <c r="S37" s="24">
        <v>0.83862800000000004</v>
      </c>
      <c r="T37" s="24">
        <v>0.12615199999999999</v>
      </c>
      <c r="U37" s="24">
        <v>0.83862800000000004</v>
      </c>
      <c r="V37" s="24">
        <v>0.12615199999999999</v>
      </c>
      <c r="W37" s="24">
        <v>0.75641000000000003</v>
      </c>
      <c r="X37" s="24">
        <v>0.23566699999999999</v>
      </c>
      <c r="Y37" s="24">
        <v>0.81557500000000005</v>
      </c>
      <c r="Z37" s="24">
        <v>0.136659</v>
      </c>
    </row>
    <row r="38" spans="14:26" ht="25.9" customHeight="1">
      <c r="N38" s="24" t="s">
        <v>76</v>
      </c>
      <c r="O38" s="24">
        <v>0.82621199999999995</v>
      </c>
      <c r="P38" s="24">
        <v>0.104634</v>
      </c>
      <c r="Q38" s="24">
        <v>0.82621199999999995</v>
      </c>
      <c r="R38" s="24">
        <v>0.104634</v>
      </c>
      <c r="S38" s="24">
        <v>0.82621199999999995</v>
      </c>
      <c r="T38" s="24">
        <v>0.104634</v>
      </c>
      <c r="U38" s="24">
        <v>0.632023</v>
      </c>
      <c r="V38" s="24">
        <v>0.40016699999999999</v>
      </c>
      <c r="W38" s="24">
        <v>0.632023</v>
      </c>
      <c r="X38" s="24">
        <v>0.40016699999999999</v>
      </c>
      <c r="Y38" s="24">
        <v>0.55535999999999996</v>
      </c>
      <c r="Z38" s="24">
        <v>0.81076300000000001</v>
      </c>
    </row>
  </sheetData>
  <mergeCells count="46">
    <mergeCell ref="B7:B10"/>
    <mergeCell ref="B11:B14"/>
    <mergeCell ref="B15:B18"/>
    <mergeCell ref="N3:N6"/>
    <mergeCell ref="N7:N10"/>
    <mergeCell ref="N11:N14"/>
    <mergeCell ref="N15:N18"/>
    <mergeCell ref="G10:K11"/>
    <mergeCell ref="G2:K3"/>
    <mergeCell ref="B27:K27"/>
    <mergeCell ref="B28:K28"/>
    <mergeCell ref="N30:Z30"/>
    <mergeCell ref="O31:P31"/>
    <mergeCell ref="Q31:R31"/>
    <mergeCell ref="S31:T31"/>
    <mergeCell ref="U31:V31"/>
    <mergeCell ref="W31:X31"/>
    <mergeCell ref="Y31:Z31"/>
    <mergeCell ref="N31:N32"/>
    <mergeCell ref="B22:K22"/>
    <mergeCell ref="B23:K23"/>
    <mergeCell ref="B24:K24"/>
    <mergeCell ref="B25:K25"/>
    <mergeCell ref="B26:K26"/>
    <mergeCell ref="B20:K20"/>
    <mergeCell ref="N20:R20"/>
    <mergeCell ref="B21:K21"/>
    <mergeCell ref="O21:P21"/>
    <mergeCell ref="Q21:R21"/>
    <mergeCell ref="N21:N22"/>
    <mergeCell ref="H14:K14"/>
    <mergeCell ref="H15:K15"/>
    <mergeCell ref="H16:K16"/>
    <mergeCell ref="H17:K17"/>
    <mergeCell ref="H18:K18"/>
    <mergeCell ref="H7:K7"/>
    <mergeCell ref="H8:K8"/>
    <mergeCell ref="H9:K9"/>
    <mergeCell ref="H12:K12"/>
    <mergeCell ref="H13:K13"/>
    <mergeCell ref="B1:K1"/>
    <mergeCell ref="B2:C2"/>
    <mergeCell ref="N2:O2"/>
    <mergeCell ref="H5:K5"/>
    <mergeCell ref="H6:K6"/>
    <mergeCell ref="B3:B6"/>
  </mergeCells>
  <phoneticPr fontId="13" type="noConversion"/>
  <dataValidations count="9">
    <dataValidation type="decimal" allowBlank="1" showInputMessage="1" showErrorMessage="1" sqref="D3:D18">
      <formula1>0</formula1>
      <formula2>100000</formula2>
    </dataValidation>
    <dataValidation type="list" allowBlank="1" showInputMessage="1" showErrorMessage="1" sqref="H4">
      <formula1>"1,2,3,4,5,6,7,8,9,10,11,12"</formula1>
    </dataValidation>
    <dataValidation type="list" allowBlank="1" showInputMessage="1" showErrorMessage="1" sqref="J4">
      <formula1>"1,2,3,4,5,6,7,8,9,10,11,12,13,14,15,16,17,18,19,20,21,22,23,24,25,26,27,28,29,30,31"</formula1>
    </dataValidation>
    <dataValidation type="list" allowBlank="1" showInputMessage="1" showErrorMessage="1" sqref="H5:K5">
      <formula1>"单击选择,晴,晴-多云,多云,多云-阴,阴"</formula1>
    </dataValidation>
    <dataValidation type="decimal" allowBlank="1" showInputMessage="1" showErrorMessage="1" sqref="H6:K6">
      <formula1>0</formula1>
      <formula2>35</formula2>
    </dataValidation>
    <dataValidation type="list" allowBlank="1" showInputMessage="1" showErrorMessage="1" sqref="H7:K7">
      <formula1>"单击选择,PM10,TSP"</formula1>
    </dataValidation>
    <dataValidation type="decimal" allowBlank="1" showInputMessage="1" showErrorMessage="1" sqref="F3:F18">
      <formula1>0</formula1>
      <formula2>1000</formula2>
    </dataValidation>
    <dataValidation type="decimal" allowBlank="1" showInputMessage="1" showErrorMessage="1" sqref="E3:E18">
      <formula1>0.5</formula1>
      <formula2>100</formula2>
    </dataValidation>
    <dataValidation type="list" allowBlank="1" showInputMessage="1" showErrorMessage="1" sqref="H9:K9">
      <formula1>$T$20:$T$25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天津市煤炭堆存、装卸应税污染物排放量核算工具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KFC</dc:creator>
  <cp:lastModifiedBy>Administrator</cp:lastModifiedBy>
  <dcterms:created xsi:type="dcterms:W3CDTF">2015-06-05T18:17:00Z</dcterms:created>
  <dcterms:modified xsi:type="dcterms:W3CDTF">2019-05-14T02:49:50Z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